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fileSharing readOnlyRecommended="1"/>
  <workbookPr defaultThemeVersion="124226"/>
  <bookViews>
    <workbookView xWindow="33525" yWindow="255" windowWidth="17550" windowHeight="15435"/>
  </bookViews>
  <sheets>
    <sheet name="HOA Budget" sheetId="1" r:id="rId1"/>
    <sheet name="Geyer Road Fee" sheetId="2" r:id="rId2"/>
  </sheets>
  <definedNames>
    <definedName name="_xlnm.Print_Area" localSheetId="0">'HOA Budget'!$A$1:$I$82</definedName>
    <definedName name="_xlnm.Print_Titles" localSheetId="0">'HOA Budget'!$1:$2</definedName>
  </definedNames>
  <calcPr calcId="125725"/>
</workbook>
</file>

<file path=xl/calcChain.xml><?xml version="1.0" encoding="utf-8"?>
<calcChain xmlns="http://schemas.openxmlformats.org/spreadsheetml/2006/main">
  <c r="G27" i="1"/>
  <c r="B7" i="2"/>
  <c r="B9" s="1"/>
  <c r="G23" i="1"/>
  <c r="F82"/>
  <c r="E82"/>
  <c r="E69" s="1"/>
  <c r="D82"/>
  <c r="D69" s="1"/>
  <c r="G82"/>
  <c r="G69" s="1"/>
  <c r="F65"/>
  <c r="D65"/>
  <c r="D70" s="1"/>
  <c r="G9"/>
  <c r="H9" s="1"/>
  <c r="G8"/>
  <c r="H8" s="1"/>
  <c r="G54"/>
  <c r="H54" s="1"/>
  <c r="H27"/>
  <c r="H81"/>
  <c r="H80"/>
  <c r="H77"/>
  <c r="H76"/>
  <c r="H75"/>
  <c r="H61"/>
  <c r="H63"/>
  <c r="H62"/>
  <c r="H60"/>
  <c r="H64"/>
  <c r="H59"/>
  <c r="H58"/>
  <c r="H57"/>
  <c r="H56"/>
  <c r="H55"/>
  <c r="H48"/>
  <c r="H47"/>
  <c r="H46"/>
  <c r="H42"/>
  <c r="H41"/>
  <c r="H40"/>
  <c r="H38"/>
  <c r="H37"/>
  <c r="H34"/>
  <c r="H32"/>
  <c r="H31"/>
  <c r="H36"/>
  <c r="H28"/>
  <c r="H35"/>
  <c r="H29"/>
  <c r="H26"/>
  <c r="H79"/>
  <c r="H78"/>
  <c r="H24"/>
  <c r="H23"/>
  <c r="H19"/>
  <c r="H18"/>
  <c r="H17"/>
  <c r="H16"/>
  <c r="H15"/>
  <c r="H14"/>
  <c r="H13"/>
  <c r="H12"/>
  <c r="H11"/>
  <c r="H10"/>
  <c r="H7"/>
  <c r="H6"/>
  <c r="H5"/>
  <c r="G49"/>
  <c r="F49"/>
  <c r="E54"/>
  <c r="E65" s="1"/>
  <c r="D49"/>
  <c r="D43"/>
  <c r="D20"/>
  <c r="E49"/>
  <c r="E43"/>
  <c r="E20"/>
  <c r="G43" l="1"/>
  <c r="E70"/>
  <c r="G65"/>
  <c r="G70" s="1"/>
  <c r="H49"/>
  <c r="G20"/>
  <c r="G51" s="1"/>
  <c r="G68" s="1"/>
  <c r="D51"/>
  <c r="D68" s="1"/>
  <c r="D71" s="1"/>
  <c r="E51"/>
  <c r="H65" l="1"/>
  <c r="G71"/>
  <c r="E68"/>
  <c r="F20"/>
  <c r="H20" s="1"/>
  <c r="F43"/>
  <c r="H43" s="1"/>
  <c r="E71" l="1"/>
  <c r="H82"/>
  <c r="F70"/>
  <c r="H70" s="1"/>
  <c r="F51"/>
  <c r="H51" s="1"/>
  <c r="F69" l="1"/>
  <c r="H69" s="1"/>
  <c r="F68"/>
  <c r="H68" s="1"/>
  <c r="F71" l="1"/>
  <c r="H71" s="1"/>
</calcChain>
</file>

<file path=xl/sharedStrings.xml><?xml version="1.0" encoding="utf-8"?>
<sst xmlns="http://schemas.openxmlformats.org/spreadsheetml/2006/main" count="136" uniqueCount="113">
  <si>
    <t xml:space="preserve"> Revenues</t>
  </si>
  <si>
    <t>General Reserve</t>
  </si>
  <si>
    <t>Surplus from previous year</t>
  </si>
  <si>
    <t>Legal - replat of Trailside</t>
  </si>
  <si>
    <t xml:space="preserve"> </t>
  </si>
  <si>
    <t>Fence replacement</t>
  </si>
  <si>
    <t xml:space="preserve">Surveying </t>
  </si>
  <si>
    <t>Administrative Expenses</t>
  </si>
  <si>
    <t>Total Revenues</t>
  </si>
  <si>
    <t>Operational Expenses</t>
  </si>
  <si>
    <t>Utilities</t>
  </si>
  <si>
    <t>Total Utilities</t>
  </si>
  <si>
    <t>Expenses</t>
  </si>
  <si>
    <t>Property Management</t>
  </si>
  <si>
    <t>Postage</t>
  </si>
  <si>
    <t>State Fees</t>
  </si>
  <si>
    <t>CPA-Taxes</t>
  </si>
  <si>
    <t>Legal</t>
  </si>
  <si>
    <t>Bank Fees</t>
  </si>
  <si>
    <t>Insurance</t>
  </si>
  <si>
    <t>Road Reserve</t>
  </si>
  <si>
    <t>Canal Bank Mowing</t>
  </si>
  <si>
    <t>Canal Spraying</t>
  </si>
  <si>
    <t>Members Assessments</t>
  </si>
  <si>
    <t>Wetlands contract specialist labor</t>
  </si>
  <si>
    <t>Late Fees</t>
  </si>
  <si>
    <t>ACC Fees</t>
  </si>
  <si>
    <t>Interest Income</t>
  </si>
  <si>
    <t>Other Income/Geyer</t>
  </si>
  <si>
    <t>Notes</t>
  </si>
  <si>
    <t>per occurrence</t>
  </si>
  <si>
    <t>Admin Fees / Estoppel Fees</t>
  </si>
  <si>
    <t>Total Expenses</t>
  </si>
  <si>
    <t>Additional Equestrian Insurance</t>
  </si>
  <si>
    <t>Secretarial / Bookkeeping Services</t>
  </si>
  <si>
    <t>Total Administrative Expenses</t>
  </si>
  <si>
    <t>Trailside Community Website</t>
  </si>
  <si>
    <t>Canal Repair</t>
  </si>
  <si>
    <t>Ditch / Culvert Repair</t>
  </si>
  <si>
    <t>Road sign replacement</t>
  </si>
  <si>
    <t>Gate/Front Entrance repairs / maintenance</t>
  </si>
  <si>
    <t>Fence Repair</t>
  </si>
  <si>
    <t>Clickers</t>
  </si>
  <si>
    <t>Materials for repair</t>
  </si>
  <si>
    <t>Balance</t>
  </si>
  <si>
    <t>Balance Status</t>
  </si>
  <si>
    <t>Reserve Contributions</t>
  </si>
  <si>
    <t>Canal / Culvert / Ditch</t>
  </si>
  <si>
    <t>Gate Reserve</t>
  </si>
  <si>
    <t>Storage Unit (HOA Records &amp; Supplies)</t>
  </si>
  <si>
    <t>Gate Access System (Swiftlane)</t>
  </si>
  <si>
    <t>Electricity (FPL)</t>
  </si>
  <si>
    <t>KYLA: IS THIS EVER A "REVENUE" ITEM ? (delete line?)</t>
  </si>
  <si>
    <t>Wetlands Clearing (pass-thru)</t>
  </si>
  <si>
    <t>Wetlands Monitor (pass-thru)</t>
  </si>
  <si>
    <t>Clicker revenue (pass-thru)</t>
  </si>
  <si>
    <t>Wetlands Monitoring / Reporting</t>
  </si>
  <si>
    <t>Fence Cleaning (and chemicals)</t>
  </si>
  <si>
    <t>Supplier</t>
  </si>
  <si>
    <r>
      <t>Reimbursement from lot owners (</t>
    </r>
    <r>
      <rPr>
        <b/>
        <sz val="8"/>
        <rFont val="Arial"/>
        <family val="2"/>
      </rPr>
      <t>pass-thru</t>
    </r>
    <r>
      <rPr>
        <sz val="8"/>
        <rFont val="Arial"/>
        <family val="2"/>
      </rPr>
      <t>)</t>
    </r>
  </si>
  <si>
    <t>once / year</t>
  </si>
  <si>
    <t>Miscellaneous Expense and Materials</t>
  </si>
  <si>
    <t>2023 Q1 Approved</t>
  </si>
  <si>
    <t>Office Supplies</t>
  </si>
  <si>
    <t>Yrly HOA filing fees</t>
  </si>
  <si>
    <t>Yrly HOA Corporate Taxes</t>
  </si>
  <si>
    <r>
      <t xml:space="preserve">Market ~$120+/hr; </t>
    </r>
    <r>
      <rPr>
        <b/>
        <sz val="8"/>
        <rFont val="Arial"/>
        <family val="2"/>
      </rPr>
      <t>2023Q2:</t>
    </r>
    <r>
      <rPr>
        <sz val="8"/>
        <rFont val="Arial"/>
        <family val="2"/>
      </rPr>
      <t xml:space="preserve"> $65/hr =&gt; $75/hr</t>
    </r>
  </si>
  <si>
    <t>1x year; License / bonded / insured</t>
  </si>
  <si>
    <t>Total Operational Expenses</t>
  </si>
  <si>
    <t>Total Reserve Contributions</t>
  </si>
  <si>
    <t>HOA Board Mtg Room Rental Fees</t>
  </si>
  <si>
    <t>various locations</t>
  </si>
  <si>
    <t>Oak Tree Trimming / Maintenance</t>
  </si>
  <si>
    <t>Irrigation (at front gate)</t>
  </si>
  <si>
    <t>Common Area Fence / Drain Basin Trimming</t>
  </si>
  <si>
    <t>Bridle Path / Trailside Run Mowing</t>
  </si>
  <si>
    <t>Trailside Path Mowing / Maintenance</t>
  </si>
  <si>
    <t>Fire Ant Control (at mailboxes)</t>
  </si>
  <si>
    <r>
      <rPr>
        <b/>
        <sz val="8"/>
        <rFont val="Arial"/>
        <family val="2"/>
      </rPr>
      <t>PASS THRU to lot owner</t>
    </r>
    <r>
      <rPr>
        <sz val="8"/>
        <rFont val="Arial"/>
        <family val="2"/>
      </rPr>
      <t xml:space="preserve">. See same amount under Revenue </t>
    </r>
  </si>
  <si>
    <r>
      <rPr>
        <b/>
        <sz val="8"/>
        <rFont val="Arial"/>
        <family val="2"/>
      </rPr>
      <t>Pass thru to lot owner.</t>
    </r>
    <r>
      <rPr>
        <sz val="8"/>
        <rFont val="Arial"/>
        <family val="2"/>
      </rPr>
      <t xml:space="preserve"> See same amount under Revenue </t>
    </r>
  </si>
  <si>
    <t>% Change over 2023</t>
  </si>
  <si>
    <t>Est $750/month (15 - 20 hrs/mon)</t>
  </si>
  <si>
    <t>$100/mon maint</t>
  </si>
  <si>
    <t xml:space="preserve"> $1,350 / 6 months</t>
  </si>
  <si>
    <t>Continued  increased legal expenses; new HOA docs</t>
  </si>
  <si>
    <r>
      <rPr>
        <sz val="8"/>
        <rFont val="Arial"/>
        <family val="2"/>
      </rPr>
      <t>On 05/29/23 Kyla contacted 9 companies and they will not write added equestrian insurance for HOAs. Budget line item now set to zero</t>
    </r>
    <r>
      <rPr>
        <b/>
        <sz val="8"/>
        <rFont val="Arial"/>
        <family val="2"/>
      </rPr>
      <t>.</t>
    </r>
  </si>
  <si>
    <t>Est of service, parts, repairs, etc</t>
  </si>
  <si>
    <r>
      <rPr>
        <b/>
        <sz val="8"/>
        <color theme="1"/>
        <rFont val="Arial"/>
        <family val="2"/>
      </rPr>
      <t>New 2023Q2</t>
    </r>
    <r>
      <rPr>
        <sz val="8"/>
        <color theme="1"/>
        <rFont val="Arial"/>
        <family val="2"/>
      </rPr>
      <t>. Est of costs; Additional RFQs I/W.</t>
    </r>
  </si>
  <si>
    <t>No longer required as of 2023</t>
  </si>
  <si>
    <t>Trailside Budget - Proposed 2024</t>
  </si>
  <si>
    <t>Separate contractor than "Trailside Path Mowing / Maintenance"</t>
  </si>
  <si>
    <t>2023 combined with below line item. NO INCREASE / DECREASE</t>
  </si>
  <si>
    <t>Yrly maintenance</t>
  </si>
  <si>
    <t>2023 Q1-Q4
Combined</t>
  </si>
  <si>
    <t>Est $90/mon (IRSC $135; Lib $70 ea)</t>
  </si>
  <si>
    <t>Service calls, electronic control panels, and/or camera replacement, etc</t>
  </si>
  <si>
    <t>road patch, service / parts of entry electrical lights, misc hardware for general repairs,etc</t>
  </si>
  <si>
    <t>FPL</t>
  </si>
  <si>
    <t>Swiftlane</t>
  </si>
  <si>
    <t>Blue Stream (ITS)</t>
  </si>
  <si>
    <t>Internet to Front Gate (Blue Stream / ITS)</t>
  </si>
  <si>
    <t>NOTE: NO CHANGE in dues from 2023Q3-Q4. Dues inc mid-2023.</t>
  </si>
  <si>
    <t>&lt;= Quarterly Dues</t>
  </si>
  <si>
    <t>4x yr @ $4,500 ea</t>
  </si>
  <si>
    <t>Gate repairs</t>
  </si>
  <si>
    <t>Internet</t>
  </si>
  <si>
    <t>Geyer Portion of Road Usage:</t>
  </si>
  <si>
    <t>Geyer yearly fee</t>
  </si>
  <si>
    <t>prorata share of 1) road reserve; 2) Swiftlane; 3) Internet; 4) gate repair LINE ITEMS</t>
  </si>
  <si>
    <t>Front gate internet (Note: 2021 phone service @ $3,800/yr superceded by internet)</t>
  </si>
  <si>
    <t>Note: 2022 Halogen entry lights replaced w/LED</t>
  </si>
  <si>
    <t>Est $3,800 / month</t>
  </si>
  <si>
    <t>2024
Approved</t>
  </si>
</sst>
</file>

<file path=xl/styles.xml><?xml version="1.0" encoding="utf-8"?>
<styleSheet xmlns="http://schemas.openxmlformats.org/spreadsheetml/2006/main">
  <numFmts count="6"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164" formatCode="0.0%"/>
    <numFmt numFmtId="165" formatCode="&quot;$&quot;#,##0.00"/>
  </numFmts>
  <fonts count="15">
    <font>
      <sz val="10"/>
      <name val="Arial"/>
    </font>
    <font>
      <b/>
      <sz val="9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9"/>
      <color rgb="FFFF000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rgb="FFFF0000"/>
      <name val="Arial"/>
      <family val="2"/>
    </font>
    <font>
      <b/>
      <sz val="8"/>
      <color rgb="FFFF000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gray0625"/>
    </fill>
    <fill>
      <patternFill patternType="solid">
        <fgColor theme="6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 style="double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DashDotDot">
        <color auto="1"/>
      </left>
      <right style="mediumDashDotDot">
        <color auto="1"/>
      </right>
      <top/>
      <bottom/>
      <diagonal/>
    </border>
    <border>
      <left style="mediumDashDotDot">
        <color auto="1"/>
      </left>
      <right style="mediumDashDotDot">
        <color auto="1"/>
      </right>
      <top style="thin">
        <color auto="1"/>
      </top>
      <bottom/>
      <diagonal/>
    </border>
    <border>
      <left style="mediumDashDotDot">
        <color auto="1"/>
      </left>
      <right style="mediumDashDotDot">
        <color auto="1"/>
      </right>
      <top style="double">
        <color auto="1"/>
      </top>
      <bottom/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89">
    <xf numFmtId="0" fontId="0" fillId="0" borderId="0" xfId="0"/>
    <xf numFmtId="0" fontId="6" fillId="0" borderId="0" xfId="0" applyFont="1" applyAlignment="1">
      <alignment vertical="top"/>
    </xf>
    <xf numFmtId="0" fontId="1" fillId="0" borderId="0" xfId="0" applyFont="1" applyAlignment="1">
      <alignment vertical="top"/>
    </xf>
    <xf numFmtId="0" fontId="2" fillId="0" borderId="0" xfId="0" applyFont="1" applyAlignment="1">
      <alignment vertical="top"/>
    </xf>
    <xf numFmtId="41" fontId="2" fillId="0" borderId="0" xfId="1" applyNumberFormat="1" applyFont="1" applyAlignment="1">
      <alignment vertical="top"/>
    </xf>
    <xf numFmtId="41" fontId="2" fillId="0" borderId="0" xfId="0" applyNumberFormat="1" applyFont="1" applyAlignment="1">
      <alignment vertical="top"/>
    </xf>
    <xf numFmtId="0" fontId="7" fillId="0" borderId="0" xfId="0" applyFont="1" applyAlignment="1">
      <alignment vertical="top"/>
    </xf>
    <xf numFmtId="41" fontId="2" fillId="0" borderId="0" xfId="1" applyNumberFormat="1" applyFont="1" applyBorder="1" applyAlignment="1">
      <alignment vertical="top"/>
    </xf>
    <xf numFmtId="41" fontId="1" fillId="0" borderId="0" xfId="1" applyNumberFormat="1" applyFont="1" applyBorder="1" applyAlignment="1">
      <alignment vertical="top"/>
    </xf>
    <xf numFmtId="0" fontId="7" fillId="2" borderId="0" xfId="0" applyFont="1" applyFill="1" applyAlignment="1">
      <alignment vertical="top"/>
    </xf>
    <xf numFmtId="0" fontId="2" fillId="2" borderId="0" xfId="0" applyFont="1" applyFill="1" applyAlignment="1">
      <alignment vertical="top"/>
    </xf>
    <xf numFmtId="41" fontId="4" fillId="0" borderId="0" xfId="0" applyNumberFormat="1" applyFont="1" applyAlignment="1">
      <alignment vertical="top"/>
    </xf>
    <xf numFmtId="49" fontId="6" fillId="0" borderId="0" xfId="0" applyNumberFormat="1" applyFont="1" applyAlignment="1">
      <alignment horizontal="left" vertical="top"/>
    </xf>
    <xf numFmtId="49" fontId="1" fillId="0" borderId="0" xfId="0" applyNumberFormat="1" applyFont="1" applyAlignment="1">
      <alignment horizontal="center" vertical="top" wrapText="1"/>
    </xf>
    <xf numFmtId="42" fontId="1" fillId="0" borderId="0" xfId="0" applyNumberFormat="1" applyFont="1" applyAlignment="1">
      <alignment vertical="top"/>
    </xf>
    <xf numFmtId="164" fontId="2" fillId="0" borderId="0" xfId="0" applyNumberFormat="1" applyFont="1" applyAlignment="1">
      <alignment vertical="top"/>
    </xf>
    <xf numFmtId="164" fontId="1" fillId="0" borderId="0" xfId="0" applyNumberFormat="1" applyFont="1" applyAlignment="1">
      <alignment vertical="top"/>
    </xf>
    <xf numFmtId="164" fontId="2" fillId="2" borderId="0" xfId="0" applyNumberFormat="1" applyFont="1" applyFill="1" applyAlignment="1">
      <alignment vertical="top"/>
    </xf>
    <xf numFmtId="164" fontId="2" fillId="0" borderId="0" xfId="1" applyNumberFormat="1" applyFont="1" applyAlignment="1">
      <alignment vertical="top"/>
    </xf>
    <xf numFmtId="164" fontId="2" fillId="0" borderId="0" xfId="1" applyNumberFormat="1" applyFont="1" applyBorder="1" applyAlignment="1">
      <alignment vertical="top"/>
    </xf>
    <xf numFmtId="164" fontId="1" fillId="0" borderId="0" xfId="1" applyNumberFormat="1" applyFont="1" applyBorder="1" applyAlignment="1">
      <alignment vertical="top"/>
    </xf>
    <xf numFmtId="0" fontId="1" fillId="0" borderId="2" xfId="0" applyFont="1" applyBorder="1" applyAlignment="1">
      <alignment vertical="top"/>
    </xf>
    <xf numFmtId="41" fontId="1" fillId="0" borderId="2" xfId="1" applyNumberFormat="1" applyFont="1" applyBorder="1" applyAlignment="1">
      <alignment vertical="top"/>
    </xf>
    <xf numFmtId="164" fontId="1" fillId="0" borderId="2" xfId="0" applyNumberFormat="1" applyFont="1" applyBorder="1" applyAlignment="1">
      <alignment vertical="top"/>
    </xf>
    <xf numFmtId="41" fontId="3" fillId="0" borderId="0" xfId="0" applyNumberFormat="1" applyFont="1" applyAlignment="1">
      <alignment vertical="top"/>
    </xf>
    <xf numFmtId="41" fontId="2" fillId="0" borderId="0" xfId="1" applyNumberFormat="1" applyFont="1" applyFill="1" applyBorder="1" applyAlignment="1">
      <alignment vertical="top"/>
    </xf>
    <xf numFmtId="49" fontId="1" fillId="0" borderId="0" xfId="1" applyNumberFormat="1" applyFont="1" applyBorder="1" applyAlignment="1">
      <alignment horizontal="center" vertical="top" wrapText="1"/>
    </xf>
    <xf numFmtId="41" fontId="2" fillId="2" borderId="0" xfId="1" applyNumberFormat="1" applyFont="1" applyFill="1" applyBorder="1" applyAlignment="1">
      <alignment vertical="top"/>
    </xf>
    <xf numFmtId="164" fontId="2" fillId="0" borderId="0" xfId="1" applyNumberFormat="1" applyFont="1" applyFill="1" applyBorder="1" applyAlignment="1">
      <alignment vertical="top"/>
    </xf>
    <xf numFmtId="42" fontId="6" fillId="3" borderId="0" xfId="0" applyNumberFormat="1" applyFont="1" applyFill="1" applyAlignment="1">
      <alignment vertical="top"/>
    </xf>
    <xf numFmtId="42" fontId="1" fillId="3" borderId="1" xfId="0" applyNumberFormat="1" applyFont="1" applyFill="1" applyBorder="1" applyAlignment="1">
      <alignment vertical="top"/>
    </xf>
    <xf numFmtId="0" fontId="1" fillId="5" borderId="1" xfId="0" applyFont="1" applyFill="1" applyBorder="1" applyAlignment="1">
      <alignment vertical="top"/>
    </xf>
    <xf numFmtId="42" fontId="1" fillId="5" borderId="1" xfId="1" applyNumberFormat="1" applyFont="1" applyFill="1" applyBorder="1" applyAlignment="1">
      <alignment vertical="top"/>
    </xf>
    <xf numFmtId="164" fontId="1" fillId="5" borderId="1" xfId="0" applyNumberFormat="1" applyFont="1" applyFill="1" applyBorder="1" applyAlignment="1">
      <alignment vertical="top"/>
    </xf>
    <xf numFmtId="164" fontId="1" fillId="5" borderId="1" xfId="1" applyNumberFormat="1" applyFont="1" applyFill="1" applyBorder="1" applyAlignment="1">
      <alignment vertical="top"/>
    </xf>
    <xf numFmtId="42" fontId="1" fillId="3" borderId="1" xfId="1" applyNumberFormat="1" applyFont="1" applyFill="1" applyBorder="1" applyAlignment="1">
      <alignment vertical="top"/>
    </xf>
    <xf numFmtId="164" fontId="1" fillId="3" borderId="1" xfId="0" applyNumberFormat="1" applyFont="1" applyFill="1" applyBorder="1" applyAlignment="1">
      <alignment vertical="top"/>
    </xf>
    <xf numFmtId="0" fontId="6" fillId="3" borderId="0" xfId="0" applyFont="1" applyFill="1" applyAlignment="1">
      <alignment vertical="top"/>
    </xf>
    <xf numFmtId="0" fontId="1" fillId="3" borderId="1" xfId="0" applyFont="1" applyFill="1" applyBorder="1" applyAlignment="1">
      <alignment vertical="top"/>
    </xf>
    <xf numFmtId="42" fontId="6" fillId="4" borderId="0" xfId="0" applyNumberFormat="1" applyFont="1" applyFill="1" applyAlignment="1">
      <alignment vertical="top"/>
    </xf>
    <xf numFmtId="42" fontId="1" fillId="4" borderId="1" xfId="0" applyNumberFormat="1" applyFont="1" applyFill="1" applyBorder="1" applyAlignment="1">
      <alignment vertical="top"/>
    </xf>
    <xf numFmtId="164" fontId="1" fillId="4" borderId="1" xfId="0" applyNumberFormat="1" applyFont="1" applyFill="1" applyBorder="1" applyAlignment="1">
      <alignment vertical="top"/>
    </xf>
    <xf numFmtId="164" fontId="8" fillId="0" borderId="0" xfId="1" applyNumberFormat="1" applyFont="1" applyFill="1" applyAlignment="1">
      <alignment vertical="top"/>
    </xf>
    <xf numFmtId="49" fontId="9" fillId="0" borderId="0" xfId="0" applyNumberFormat="1" applyFont="1" applyAlignment="1">
      <alignment horizontal="center" vertical="top" wrapText="1"/>
    </xf>
    <xf numFmtId="0" fontId="10" fillId="0" borderId="0" xfId="0" applyFont="1" applyAlignment="1">
      <alignment vertical="top" wrapText="1"/>
    </xf>
    <xf numFmtId="0" fontId="9" fillId="0" borderId="0" xfId="0" applyFont="1" applyAlignment="1">
      <alignment vertical="top" wrapText="1"/>
    </xf>
    <xf numFmtId="0" fontId="10" fillId="2" borderId="0" xfId="0" applyFont="1" applyFill="1" applyAlignment="1">
      <alignment vertical="top" wrapText="1"/>
    </xf>
    <xf numFmtId="0" fontId="9" fillId="0" borderId="2" xfId="0" applyFont="1" applyBorder="1" applyAlignment="1">
      <alignment vertical="top" wrapText="1"/>
    </xf>
    <xf numFmtId="0" fontId="9" fillId="5" borderId="1" xfId="0" applyFont="1" applyFill="1" applyBorder="1" applyAlignment="1">
      <alignment vertical="top" wrapText="1"/>
    </xf>
    <xf numFmtId="0" fontId="11" fillId="0" borderId="0" xfId="0" applyFont="1" applyAlignment="1">
      <alignment vertical="top" wrapText="1"/>
    </xf>
    <xf numFmtId="0" fontId="10" fillId="5" borderId="1" xfId="0" applyFont="1" applyFill="1" applyBorder="1" applyAlignment="1">
      <alignment vertical="top" wrapText="1"/>
    </xf>
    <xf numFmtId="42" fontId="9" fillId="3" borderId="1" xfId="0" applyNumberFormat="1" applyFont="1" applyFill="1" applyBorder="1" applyAlignment="1">
      <alignment vertical="top" wrapText="1"/>
    </xf>
    <xf numFmtId="0" fontId="10" fillId="6" borderId="0" xfId="0" applyFont="1" applyFill="1" applyAlignment="1">
      <alignment vertical="top" wrapText="1"/>
    </xf>
    <xf numFmtId="8" fontId="10" fillId="0" borderId="0" xfId="0" applyNumberFormat="1" applyFont="1" applyAlignment="1">
      <alignment vertical="top" wrapText="1"/>
    </xf>
    <xf numFmtId="42" fontId="9" fillId="4" borderId="1" xfId="0" applyNumberFormat="1" applyFont="1" applyFill="1" applyBorder="1" applyAlignment="1">
      <alignment vertical="top" wrapText="1"/>
    </xf>
    <xf numFmtId="0" fontId="10" fillId="3" borderId="1" xfId="0" applyFont="1" applyFill="1" applyBorder="1" applyAlignment="1">
      <alignment vertical="top" wrapText="1"/>
    </xf>
    <xf numFmtId="42" fontId="1" fillId="4" borderId="1" xfId="1" applyNumberFormat="1" applyFont="1" applyFill="1" applyBorder="1" applyAlignment="1">
      <alignment vertical="top"/>
    </xf>
    <xf numFmtId="41" fontId="2" fillId="0" borderId="3" xfId="0" applyNumberFormat="1" applyFont="1" applyBorder="1" applyAlignment="1">
      <alignment vertical="top"/>
    </xf>
    <xf numFmtId="41" fontId="1" fillId="0" borderId="3" xfId="0" applyNumberFormat="1" applyFont="1" applyBorder="1" applyAlignment="1">
      <alignment vertical="top"/>
    </xf>
    <xf numFmtId="41" fontId="1" fillId="0" borderId="4" xfId="0" applyNumberFormat="1" applyFont="1" applyBorder="1" applyAlignment="1">
      <alignment vertical="top"/>
    </xf>
    <xf numFmtId="42" fontId="1" fillId="5" borderId="5" xfId="1" applyNumberFormat="1" applyFont="1" applyFill="1" applyBorder="1" applyAlignment="1">
      <alignment vertical="top"/>
    </xf>
    <xf numFmtId="41" fontId="2" fillId="0" borderId="3" xfId="1" applyNumberFormat="1" applyFont="1" applyBorder="1" applyAlignment="1">
      <alignment vertical="top"/>
    </xf>
    <xf numFmtId="41" fontId="8" fillId="0" borderId="3" xfId="1" applyNumberFormat="1" applyFont="1" applyFill="1" applyBorder="1" applyAlignment="1">
      <alignment vertical="top"/>
    </xf>
    <xf numFmtId="41" fontId="1" fillId="0" borderId="3" xfId="1" applyNumberFormat="1" applyFont="1" applyBorder="1" applyAlignment="1">
      <alignment vertical="top"/>
    </xf>
    <xf numFmtId="42" fontId="1" fillId="3" borderId="5" xfId="1" applyNumberFormat="1" applyFont="1" applyFill="1" applyBorder="1" applyAlignment="1">
      <alignment vertical="top"/>
    </xf>
    <xf numFmtId="41" fontId="2" fillId="2" borderId="3" xfId="0" applyNumberFormat="1" applyFont="1" applyFill="1" applyBorder="1" applyAlignment="1">
      <alignment vertical="top"/>
    </xf>
    <xf numFmtId="42" fontId="1" fillId="3" borderId="5" xfId="0" applyNumberFormat="1" applyFont="1" applyFill="1" applyBorder="1" applyAlignment="1">
      <alignment vertical="top"/>
    </xf>
    <xf numFmtId="42" fontId="1" fillId="4" borderId="5" xfId="1" applyNumberFormat="1" applyFont="1" applyFill="1" applyBorder="1" applyAlignment="1">
      <alignment vertical="top"/>
    </xf>
    <xf numFmtId="41" fontId="2" fillId="0" borderId="3" xfId="1" applyNumberFormat="1" applyFont="1" applyFill="1" applyBorder="1" applyAlignment="1">
      <alignment vertical="top"/>
    </xf>
    <xf numFmtId="49" fontId="1" fillId="0" borderId="3" xfId="1" applyNumberFormat="1" applyFont="1" applyBorder="1" applyAlignment="1">
      <alignment horizontal="center" vertical="top" wrapText="1"/>
    </xf>
    <xf numFmtId="41" fontId="1" fillId="0" borderId="4" xfId="1" applyNumberFormat="1" applyFont="1" applyBorder="1" applyAlignment="1">
      <alignment vertical="top"/>
    </xf>
    <xf numFmtId="41" fontId="3" fillId="0" borderId="3" xfId="0" applyNumberFormat="1" applyFont="1" applyBorder="1" applyAlignment="1">
      <alignment vertical="top"/>
    </xf>
    <xf numFmtId="41" fontId="4" fillId="0" borderId="3" xfId="0" applyNumberFormat="1" applyFont="1" applyBorder="1" applyAlignment="1">
      <alignment vertical="top"/>
    </xf>
    <xf numFmtId="41" fontId="2" fillId="2" borderId="3" xfId="1" applyNumberFormat="1" applyFont="1" applyFill="1" applyBorder="1" applyAlignment="1">
      <alignment vertical="top"/>
    </xf>
    <xf numFmtId="49" fontId="1" fillId="0" borderId="3" xfId="0" applyNumberFormat="1" applyFont="1" applyBorder="1" applyAlignment="1">
      <alignment horizontal="center" vertical="top" wrapText="1"/>
    </xf>
    <xf numFmtId="8" fontId="12" fillId="0" borderId="0" xfId="0" applyNumberFormat="1" applyFont="1" applyAlignment="1">
      <alignment vertical="top" wrapText="1"/>
    </xf>
    <xf numFmtId="41" fontId="3" fillId="0" borderId="3" xfId="1" applyNumberFormat="1" applyFont="1" applyFill="1" applyBorder="1" applyAlignment="1">
      <alignment vertical="top"/>
    </xf>
    <xf numFmtId="164" fontId="3" fillId="0" borderId="0" xfId="1" applyNumberFormat="1" applyFont="1" applyFill="1" applyAlignment="1">
      <alignment vertical="top"/>
    </xf>
    <xf numFmtId="0" fontId="13" fillId="0" borderId="0" xfId="0" applyFont="1" applyAlignment="1">
      <alignment vertical="top" wrapText="1"/>
    </xf>
    <xf numFmtId="0" fontId="12" fillId="0" borderId="0" xfId="0" applyFont="1" applyAlignment="1">
      <alignment vertical="top" wrapText="1"/>
    </xf>
    <xf numFmtId="41" fontId="12" fillId="7" borderId="0" xfId="1" applyNumberFormat="1" applyFont="1" applyFill="1" applyBorder="1" applyAlignment="1">
      <alignment vertical="top"/>
    </xf>
    <xf numFmtId="41" fontId="12" fillId="7" borderId="3" xfId="1" applyNumberFormat="1" applyFont="1" applyFill="1" applyBorder="1" applyAlignment="1">
      <alignment vertical="top"/>
    </xf>
    <xf numFmtId="41" fontId="12" fillId="7" borderId="3" xfId="0" applyNumberFormat="1" applyFont="1" applyFill="1" applyBorder="1" applyAlignment="1">
      <alignment vertical="top"/>
    </xf>
    <xf numFmtId="164" fontId="12" fillId="7" borderId="0" xfId="0" applyNumberFormat="1" applyFont="1" applyFill="1" applyAlignment="1">
      <alignment vertical="top"/>
    </xf>
    <xf numFmtId="0" fontId="12" fillId="7" borderId="0" xfId="0" applyFont="1" applyFill="1" applyAlignment="1">
      <alignment vertical="top" wrapText="1"/>
    </xf>
    <xf numFmtId="0" fontId="0" fillId="0" borderId="1" xfId="0" applyBorder="1"/>
    <xf numFmtId="0" fontId="5" fillId="0" borderId="0" xfId="0" applyFont="1"/>
    <xf numFmtId="165" fontId="0" fillId="8" borderId="0" xfId="0" applyNumberFormat="1" applyFill="1"/>
    <xf numFmtId="0" fontId="5" fillId="8" borderId="0" xfId="0" applyFont="1" applyFill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colors>
    <mruColors>
      <color rgb="FFFFFF99"/>
      <color rgb="FFFF99FF"/>
      <color rgb="FF00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85"/>
  <sheetViews>
    <sheetView tabSelected="1"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A2" sqref="A2"/>
    </sheetView>
  </sheetViews>
  <sheetFormatPr defaultRowHeight="14.25"/>
  <cols>
    <col min="1" max="1" width="3.140625" style="6" customWidth="1"/>
    <col min="2" max="2" width="3.42578125" style="3" customWidth="1"/>
    <col min="3" max="3" width="38" style="3" customWidth="1"/>
    <col min="4" max="5" width="10.85546875" style="4" customWidth="1"/>
    <col min="6" max="7" width="10.85546875" style="5" customWidth="1"/>
    <col min="8" max="8" width="10.85546875" style="15" customWidth="1"/>
    <col min="9" max="9" width="59.7109375" style="44" customWidth="1"/>
    <col min="10" max="10" width="28.42578125" style="44" customWidth="1"/>
    <col min="11" max="16384" width="9.140625" style="3"/>
  </cols>
  <sheetData>
    <row r="1" spans="1:10" s="13" customFormat="1" ht="24">
      <c r="A1" s="12" t="s">
        <v>89</v>
      </c>
      <c r="D1" s="26">
        <v>2022</v>
      </c>
      <c r="E1" s="69" t="s">
        <v>62</v>
      </c>
      <c r="F1" s="74" t="s">
        <v>93</v>
      </c>
      <c r="G1" s="74" t="s">
        <v>112</v>
      </c>
      <c r="H1" s="13" t="s">
        <v>80</v>
      </c>
      <c r="I1" s="43" t="s">
        <v>29</v>
      </c>
      <c r="J1" s="43" t="s">
        <v>58</v>
      </c>
    </row>
    <row r="2" spans="1:10" ht="4.5" customHeight="1">
      <c r="A2" s="1"/>
      <c r="B2" s="2"/>
      <c r="C2" s="2"/>
      <c r="D2" s="7"/>
      <c r="E2" s="61"/>
      <c r="F2" s="57"/>
      <c r="G2" s="57"/>
    </row>
    <row r="3" spans="1:10" s="2" customFormat="1" ht="15">
      <c r="A3" s="1" t="s">
        <v>12</v>
      </c>
      <c r="D3" s="8"/>
      <c r="E3" s="63"/>
      <c r="F3" s="58"/>
      <c r="G3" s="58"/>
      <c r="H3" s="16"/>
      <c r="I3" s="45"/>
      <c r="J3" s="45"/>
    </row>
    <row r="4" spans="1:10" s="2" customFormat="1" ht="15">
      <c r="A4" s="1"/>
      <c r="B4" s="21" t="s">
        <v>7</v>
      </c>
      <c r="C4" s="21"/>
      <c r="D4" s="22"/>
      <c r="E4" s="70"/>
      <c r="F4" s="59"/>
      <c r="G4" s="59"/>
      <c r="H4" s="23"/>
      <c r="I4" s="47"/>
      <c r="J4" s="47"/>
    </row>
    <row r="5" spans="1:10">
      <c r="C5" s="3" t="s">
        <v>13</v>
      </c>
      <c r="D5" s="7">
        <v>0</v>
      </c>
      <c r="E5" s="61">
        <v>0</v>
      </c>
      <c r="F5" s="57">
        <v>0</v>
      </c>
      <c r="G5" s="57">
        <v>0</v>
      </c>
      <c r="H5" s="15">
        <f>IF(AND(G5&gt;0, F5=0), 1, IF(AND(F5&gt;0,G5=0), -1, IF(G5=0, 0,(G5-F5)/F5)))</f>
        <v>0</v>
      </c>
    </row>
    <row r="6" spans="1:10">
      <c r="C6" s="3" t="s">
        <v>34</v>
      </c>
      <c r="D6" s="7">
        <v>0</v>
      </c>
      <c r="E6" s="61">
        <v>0</v>
      </c>
      <c r="F6" s="57">
        <v>5250</v>
      </c>
      <c r="G6" s="57">
        <v>5250</v>
      </c>
      <c r="H6" s="15">
        <f t="shared" ref="H6:H20" si="0">IF(AND(G6&gt;0, F6=0), 1, IF(AND(F6&gt;0,G6=0), -1, IF(G6=0, 0,(G6-F6)/F6)))</f>
        <v>0</v>
      </c>
      <c r="I6" s="44" t="s">
        <v>81</v>
      </c>
    </row>
    <row r="7" spans="1:10">
      <c r="C7" s="3" t="s">
        <v>36</v>
      </c>
      <c r="D7" s="7">
        <v>0</v>
      </c>
      <c r="E7" s="61">
        <v>0</v>
      </c>
      <c r="F7" s="57">
        <v>3200</v>
      </c>
      <c r="G7" s="57">
        <v>1200</v>
      </c>
      <c r="H7" s="15">
        <f t="shared" si="0"/>
        <v>-0.625</v>
      </c>
      <c r="I7" s="44" t="s">
        <v>82</v>
      </c>
    </row>
    <row r="8" spans="1:10">
      <c r="C8" s="3" t="s">
        <v>49</v>
      </c>
      <c r="D8" s="7">
        <v>0</v>
      </c>
      <c r="E8" s="61">
        <v>0</v>
      </c>
      <c r="F8" s="57">
        <v>2025</v>
      </c>
      <c r="G8" s="57">
        <f>2*1350</f>
        <v>2700</v>
      </c>
      <c r="H8" s="15">
        <f t="shared" si="0"/>
        <v>0.33333333333333331</v>
      </c>
      <c r="I8" s="44" t="s">
        <v>83</v>
      </c>
    </row>
    <row r="9" spans="1:10">
      <c r="C9" s="3" t="s">
        <v>70</v>
      </c>
      <c r="D9" s="7">
        <v>0</v>
      </c>
      <c r="E9" s="61">
        <v>0</v>
      </c>
      <c r="F9" s="57">
        <v>1080</v>
      </c>
      <c r="G9" s="57">
        <f>12*90</f>
        <v>1080</v>
      </c>
      <c r="H9" s="15">
        <f t="shared" si="0"/>
        <v>0</v>
      </c>
      <c r="I9" s="44" t="s">
        <v>94</v>
      </c>
      <c r="J9" s="44" t="s">
        <v>71</v>
      </c>
    </row>
    <row r="10" spans="1:10">
      <c r="C10" s="3" t="s">
        <v>63</v>
      </c>
      <c r="D10" s="7">
        <v>2734.86</v>
      </c>
      <c r="E10" s="61">
        <v>3000</v>
      </c>
      <c r="F10" s="57">
        <v>3000</v>
      </c>
      <c r="G10" s="57">
        <v>3000</v>
      </c>
      <c r="H10" s="15">
        <f t="shared" si="0"/>
        <v>0</v>
      </c>
    </row>
    <row r="11" spans="1:10" ht="15">
      <c r="A11" s="1"/>
      <c r="B11" s="2"/>
      <c r="C11" s="3" t="s">
        <v>14</v>
      </c>
      <c r="D11" s="7">
        <v>397.89</v>
      </c>
      <c r="E11" s="61">
        <v>450</v>
      </c>
      <c r="F11" s="57">
        <v>450</v>
      </c>
      <c r="G11" s="57">
        <v>600</v>
      </c>
      <c r="H11" s="15">
        <f t="shared" si="0"/>
        <v>0.33333333333333331</v>
      </c>
    </row>
    <row r="12" spans="1:10">
      <c r="C12" s="3" t="s">
        <v>15</v>
      </c>
      <c r="D12" s="7">
        <v>70</v>
      </c>
      <c r="E12" s="61">
        <v>70</v>
      </c>
      <c r="F12" s="57">
        <v>70</v>
      </c>
      <c r="G12" s="57">
        <v>70</v>
      </c>
      <c r="H12" s="15">
        <f t="shared" si="0"/>
        <v>0</v>
      </c>
      <c r="I12" s="44" t="s">
        <v>64</v>
      </c>
    </row>
    <row r="13" spans="1:10">
      <c r="C13" s="3" t="s">
        <v>16</v>
      </c>
      <c r="D13" s="7">
        <v>250</v>
      </c>
      <c r="E13" s="61">
        <v>350</v>
      </c>
      <c r="F13" s="57">
        <v>350</v>
      </c>
      <c r="G13" s="57">
        <v>350</v>
      </c>
      <c r="H13" s="15">
        <f t="shared" si="0"/>
        <v>0</v>
      </c>
      <c r="I13" s="44" t="s">
        <v>65</v>
      </c>
    </row>
    <row r="14" spans="1:10">
      <c r="C14" s="3" t="s">
        <v>17</v>
      </c>
      <c r="D14" s="7">
        <v>7987.25</v>
      </c>
      <c r="E14" s="61">
        <v>10000</v>
      </c>
      <c r="F14" s="57">
        <v>22000</v>
      </c>
      <c r="G14" s="57">
        <v>25000</v>
      </c>
      <c r="H14" s="15">
        <f t="shared" si="0"/>
        <v>0.13636363636363635</v>
      </c>
      <c r="I14" s="44" t="s">
        <v>84</v>
      </c>
    </row>
    <row r="15" spans="1:10">
      <c r="C15" s="3" t="s">
        <v>3</v>
      </c>
      <c r="D15" s="7">
        <v>0</v>
      </c>
      <c r="E15" s="61">
        <v>0</v>
      </c>
      <c r="F15" s="57">
        <v>0</v>
      </c>
      <c r="G15" s="57">
        <v>0</v>
      </c>
      <c r="H15" s="15">
        <f t="shared" si="0"/>
        <v>0</v>
      </c>
    </row>
    <row r="16" spans="1:10">
      <c r="C16" s="3" t="s">
        <v>18</v>
      </c>
      <c r="D16" s="7">
        <v>5</v>
      </c>
      <c r="E16" s="61">
        <v>0</v>
      </c>
      <c r="F16" s="57">
        <v>0</v>
      </c>
      <c r="G16" s="57">
        <v>0</v>
      </c>
      <c r="H16" s="15">
        <f t="shared" si="0"/>
        <v>0</v>
      </c>
    </row>
    <row r="17" spans="1:10">
      <c r="C17" s="3" t="s">
        <v>6</v>
      </c>
      <c r="D17" s="7">
        <v>754</v>
      </c>
      <c r="E17" s="61">
        <v>1000</v>
      </c>
      <c r="F17" s="57">
        <v>1000</v>
      </c>
      <c r="G17" s="57">
        <v>1000</v>
      </c>
      <c r="H17" s="15">
        <f t="shared" si="0"/>
        <v>0</v>
      </c>
    </row>
    <row r="18" spans="1:10" ht="13.5" customHeight="1">
      <c r="C18" s="3" t="s">
        <v>19</v>
      </c>
      <c r="D18" s="7">
        <v>5429.43</v>
      </c>
      <c r="E18" s="61">
        <v>8000</v>
      </c>
      <c r="F18" s="57">
        <v>8000</v>
      </c>
      <c r="G18" s="57">
        <v>8000</v>
      </c>
      <c r="H18" s="15">
        <f t="shared" si="0"/>
        <v>0</v>
      </c>
    </row>
    <row r="19" spans="1:10" ht="23.25" thickBot="1">
      <c r="C19" s="3" t="s">
        <v>33</v>
      </c>
      <c r="D19" s="7"/>
      <c r="E19" s="61">
        <v>3000</v>
      </c>
      <c r="F19" s="57">
        <v>0</v>
      </c>
      <c r="G19" s="57">
        <v>0</v>
      </c>
      <c r="H19" s="15">
        <f t="shared" si="0"/>
        <v>0</v>
      </c>
      <c r="I19" s="45" t="s">
        <v>85</v>
      </c>
      <c r="J19" s="45"/>
    </row>
    <row r="20" spans="1:10" s="2" customFormat="1" ht="15.75" thickTop="1">
      <c r="A20" s="1"/>
      <c r="B20" s="31" t="s">
        <v>35</v>
      </c>
      <c r="C20" s="31"/>
      <c r="D20" s="32">
        <f t="shared" ref="D20:F20" si="1">SUBTOTAL(9, D4:D19)</f>
        <v>17628.43</v>
      </c>
      <c r="E20" s="60">
        <f t="shared" si="1"/>
        <v>25870</v>
      </c>
      <c r="F20" s="60">
        <f t="shared" si="1"/>
        <v>46425</v>
      </c>
      <c r="G20" s="60">
        <f t="shared" ref="G20" si="2">SUBTOTAL(9, G4:G19)</f>
        <v>48250</v>
      </c>
      <c r="H20" s="33">
        <f t="shared" si="0"/>
        <v>3.9310716208939146E-2</v>
      </c>
      <c r="I20" s="48"/>
      <c r="J20" s="48"/>
    </row>
    <row r="21" spans="1:10" s="2" customFormat="1" ht="8.25" customHeight="1">
      <c r="A21" s="1"/>
      <c r="D21" s="8"/>
      <c r="E21" s="63"/>
      <c r="F21" s="58"/>
      <c r="G21" s="58"/>
      <c r="H21" s="16"/>
      <c r="I21" s="45"/>
      <c r="J21" s="45"/>
    </row>
    <row r="22" spans="1:10" s="2" customFormat="1" ht="15">
      <c r="A22" s="1"/>
      <c r="B22" s="21" t="s">
        <v>9</v>
      </c>
      <c r="C22" s="21"/>
      <c r="D22" s="22"/>
      <c r="E22" s="70"/>
      <c r="F22" s="59"/>
      <c r="G22" s="59"/>
      <c r="H22" s="23"/>
      <c r="I22" s="47"/>
      <c r="J22" s="47"/>
    </row>
    <row r="23" spans="1:10">
      <c r="C23" s="3" t="s">
        <v>21</v>
      </c>
      <c r="D23" s="5">
        <v>13000</v>
      </c>
      <c r="E23" s="57">
        <v>16000</v>
      </c>
      <c r="F23" s="61">
        <v>16000</v>
      </c>
      <c r="G23" s="61">
        <f>4*4500</f>
        <v>18000</v>
      </c>
      <c r="H23" s="18">
        <f t="shared" ref="H23:H43" si="3">IF(AND(G23&gt;0, F23=0), 1, IF(AND(F23&gt;0,G23=0), -1, IF(G23=0, 0,(G23-F23)/F23)))</f>
        <v>0.125</v>
      </c>
      <c r="I23" s="44" t="s">
        <v>103</v>
      </c>
    </row>
    <row r="24" spans="1:10">
      <c r="C24" s="3" t="s">
        <v>22</v>
      </c>
      <c r="D24" s="5">
        <v>9350</v>
      </c>
      <c r="E24" s="57">
        <v>10000</v>
      </c>
      <c r="F24" s="61">
        <v>10000</v>
      </c>
      <c r="G24" s="61">
        <v>15000</v>
      </c>
      <c r="H24" s="18">
        <f t="shared" si="3"/>
        <v>0.5</v>
      </c>
    </row>
    <row r="25" spans="1:10" ht="4.5" customHeight="1">
      <c r="D25" s="5"/>
      <c r="E25" s="57"/>
      <c r="F25" s="62"/>
      <c r="G25" s="62"/>
      <c r="H25" s="42"/>
      <c r="I25" s="49"/>
      <c r="J25" s="49"/>
    </row>
    <row r="26" spans="1:10">
      <c r="C26" s="3" t="s">
        <v>75</v>
      </c>
      <c r="D26" s="5">
        <v>9812.1200000000008</v>
      </c>
      <c r="E26" s="57">
        <v>10000</v>
      </c>
      <c r="F26" s="61">
        <v>11200</v>
      </c>
      <c r="G26" s="61">
        <v>11200</v>
      </c>
      <c r="H26" s="18">
        <f t="shared" si="3"/>
        <v>0</v>
      </c>
      <c r="I26" s="44" t="s">
        <v>66</v>
      </c>
    </row>
    <row r="27" spans="1:10">
      <c r="C27" s="3" t="s">
        <v>76</v>
      </c>
      <c r="D27" s="5">
        <v>32500</v>
      </c>
      <c r="E27" s="57">
        <v>32500</v>
      </c>
      <c r="F27" s="61">
        <v>32500</v>
      </c>
      <c r="G27" s="61">
        <f>12*3800</f>
        <v>45600</v>
      </c>
      <c r="H27" s="18">
        <f t="shared" si="3"/>
        <v>0.40307692307692305</v>
      </c>
      <c r="I27" s="44" t="s">
        <v>111</v>
      </c>
    </row>
    <row r="28" spans="1:10">
      <c r="C28" s="3" t="s">
        <v>74</v>
      </c>
      <c r="D28" s="24">
        <v>700</v>
      </c>
      <c r="E28" s="71">
        <v>2000</v>
      </c>
      <c r="F28" s="61">
        <v>2000</v>
      </c>
      <c r="G28" s="61">
        <v>2000</v>
      </c>
      <c r="H28" s="18">
        <f>IF(AND(G28&gt;0, F28=0), 1, IF(AND(F28&gt;0,G28=0), -1, IF(G28=0, 0,(G28-F28)/F28)))</f>
        <v>0</v>
      </c>
      <c r="I28" s="44" t="s">
        <v>90</v>
      </c>
    </row>
    <row r="29" spans="1:10">
      <c r="C29" s="3" t="s">
        <v>72</v>
      </c>
      <c r="D29" s="24">
        <v>12140</v>
      </c>
      <c r="E29" s="71">
        <v>15000</v>
      </c>
      <c r="F29" s="61">
        <v>15000</v>
      </c>
      <c r="G29" s="61">
        <v>15000</v>
      </c>
      <c r="H29" s="18">
        <f t="shared" si="3"/>
        <v>0</v>
      </c>
      <c r="I29" s="44" t="s">
        <v>60</v>
      </c>
    </row>
    <row r="30" spans="1:10" ht="4.5" customHeight="1">
      <c r="D30" s="5"/>
      <c r="E30" s="57"/>
      <c r="F30" s="62"/>
      <c r="G30" s="62"/>
      <c r="H30" s="42"/>
      <c r="I30" s="49"/>
      <c r="J30" s="49"/>
    </row>
    <row r="31" spans="1:10">
      <c r="C31" s="3" t="s">
        <v>57</v>
      </c>
      <c r="D31" s="24">
        <v>6000</v>
      </c>
      <c r="E31" s="71">
        <v>6000</v>
      </c>
      <c r="F31" s="61">
        <v>15800</v>
      </c>
      <c r="G31" s="61">
        <v>15800</v>
      </c>
      <c r="H31" s="18">
        <f t="shared" si="3"/>
        <v>0</v>
      </c>
      <c r="I31" s="44" t="s">
        <v>67</v>
      </c>
    </row>
    <row r="32" spans="1:10">
      <c r="C32" s="3" t="s">
        <v>41</v>
      </c>
      <c r="D32" s="24">
        <v>3650</v>
      </c>
      <c r="E32" s="71">
        <v>3650</v>
      </c>
      <c r="F32" s="61">
        <v>3650</v>
      </c>
      <c r="G32" s="61">
        <v>3650</v>
      </c>
      <c r="H32" s="18">
        <f t="shared" si="3"/>
        <v>0</v>
      </c>
    </row>
    <row r="33" spans="1:10" ht="4.5" customHeight="1">
      <c r="D33" s="5"/>
      <c r="E33" s="57"/>
      <c r="F33" s="62"/>
      <c r="G33" s="62"/>
      <c r="H33" s="42"/>
      <c r="I33" s="49"/>
      <c r="J33" s="49"/>
    </row>
    <row r="34" spans="1:10">
      <c r="C34" s="3" t="s">
        <v>39</v>
      </c>
      <c r="D34" s="24">
        <v>1116.6500000000001</v>
      </c>
      <c r="E34" s="71">
        <v>450</v>
      </c>
      <c r="F34" s="61">
        <v>450</v>
      </c>
      <c r="G34" s="61">
        <v>450</v>
      </c>
      <c r="H34" s="18">
        <f t="shared" si="3"/>
        <v>0</v>
      </c>
    </row>
    <row r="35" spans="1:10">
      <c r="C35" s="3" t="s">
        <v>73</v>
      </c>
      <c r="D35" s="5">
        <v>4040</v>
      </c>
      <c r="E35" s="57">
        <v>4000</v>
      </c>
      <c r="F35" s="61">
        <v>4000</v>
      </c>
      <c r="G35" s="61">
        <v>1500</v>
      </c>
      <c r="H35" s="18">
        <f>IF(AND(G35&gt;0, F35=0), 1, IF(AND(F35&gt;0,G35=0), -1, IF(G35=0, 0,(G35-F35)/F35)))</f>
        <v>-0.625</v>
      </c>
      <c r="I35" s="44" t="s">
        <v>86</v>
      </c>
    </row>
    <row r="36" spans="1:10">
      <c r="C36" s="3" t="s">
        <v>77</v>
      </c>
      <c r="D36" s="24">
        <v>260</v>
      </c>
      <c r="E36" s="71">
        <v>260</v>
      </c>
      <c r="F36" s="61">
        <v>260</v>
      </c>
      <c r="G36" s="61">
        <v>260</v>
      </c>
      <c r="H36" s="18">
        <f>IF(AND(G36&gt;0, F36=0), 1, IF(AND(F36&gt;0,G36=0), -1, IF(G36=0, 0,(G36-F36)/F36)))</f>
        <v>0</v>
      </c>
    </row>
    <row r="37" spans="1:10">
      <c r="C37" s="3" t="s">
        <v>40</v>
      </c>
      <c r="D37" s="5">
        <v>450</v>
      </c>
      <c r="E37" s="57">
        <v>2000</v>
      </c>
      <c r="F37" s="61">
        <v>1000</v>
      </c>
      <c r="G37" s="61">
        <v>1000</v>
      </c>
      <c r="H37" s="18">
        <f t="shared" si="3"/>
        <v>0</v>
      </c>
      <c r="I37" s="44" t="s">
        <v>95</v>
      </c>
    </row>
    <row r="38" spans="1:10">
      <c r="C38" s="3" t="s">
        <v>42</v>
      </c>
      <c r="D38" s="24">
        <v>2276.69</v>
      </c>
      <c r="E38" s="71">
        <v>0</v>
      </c>
      <c r="F38" s="61">
        <v>0</v>
      </c>
      <c r="G38" s="61">
        <v>0</v>
      </c>
      <c r="H38" s="18">
        <f t="shared" si="3"/>
        <v>0</v>
      </c>
      <c r="I38" s="44" t="s">
        <v>79</v>
      </c>
    </row>
    <row r="39" spans="1:10" ht="4.5" customHeight="1">
      <c r="D39" s="5"/>
      <c r="E39" s="57"/>
      <c r="F39" s="62"/>
      <c r="G39" s="62"/>
      <c r="H39" s="42"/>
      <c r="I39" s="49"/>
      <c r="J39" s="49"/>
    </row>
    <row r="40" spans="1:10">
      <c r="C40" s="3" t="s">
        <v>56</v>
      </c>
      <c r="D40" s="5">
        <v>3500</v>
      </c>
      <c r="E40" s="57">
        <v>3500</v>
      </c>
      <c r="F40" s="61">
        <v>3500</v>
      </c>
      <c r="G40" s="61">
        <v>0</v>
      </c>
      <c r="H40" s="18">
        <f t="shared" si="3"/>
        <v>-1</v>
      </c>
      <c r="I40" s="44" t="s">
        <v>78</v>
      </c>
    </row>
    <row r="41" spans="1:10">
      <c r="C41" s="3" t="s">
        <v>43</v>
      </c>
      <c r="D41" s="24">
        <v>0</v>
      </c>
      <c r="E41" s="71">
        <v>1000</v>
      </c>
      <c r="F41" s="61">
        <v>0</v>
      </c>
      <c r="G41" s="61">
        <v>0</v>
      </c>
      <c r="H41" s="18">
        <f>IF(AND(G41&gt;0, F41=0), 1, IF(AND(F41&gt;0,G41=0), -1, IF(G41=0, 0,(G41-F41)/F41)))</f>
        <v>0</v>
      </c>
      <c r="I41" s="44" t="s">
        <v>91</v>
      </c>
    </row>
    <row r="42" spans="1:10" ht="23.25" thickBot="1">
      <c r="C42" s="3" t="s">
        <v>61</v>
      </c>
      <c r="D42" s="24">
        <v>325</v>
      </c>
      <c r="E42" s="71">
        <v>500</v>
      </c>
      <c r="F42" s="61">
        <v>1500</v>
      </c>
      <c r="G42" s="61">
        <v>1500</v>
      </c>
      <c r="H42" s="19">
        <f>IF(AND(G42&gt;0, F42=0), 1, IF(AND(F42&gt;0,G42=0), -1, IF(G42=0, 0,(G42-F42)/F42)))</f>
        <v>0</v>
      </c>
      <c r="I42" s="44" t="s">
        <v>96</v>
      </c>
    </row>
    <row r="43" spans="1:10" ht="15.75" thickTop="1">
      <c r="A43" s="1"/>
      <c r="B43" s="31" t="s">
        <v>68</v>
      </c>
      <c r="C43" s="31"/>
      <c r="D43" s="32">
        <f>SUBTOTAL(9, D22:D42)</f>
        <v>99120.459999999992</v>
      </c>
      <c r="E43" s="60">
        <f>SUBTOTAL(9, E22:E42)</f>
        <v>106860</v>
      </c>
      <c r="F43" s="60">
        <f>SUBTOTAL(9, F22:F42)</f>
        <v>116860</v>
      </c>
      <c r="G43" s="60">
        <f>SUBTOTAL(9, G22:G42)</f>
        <v>130960</v>
      </c>
      <c r="H43" s="34">
        <f t="shared" si="3"/>
        <v>0.1206571966455588</v>
      </c>
      <c r="I43" s="50"/>
      <c r="J43" s="50"/>
    </row>
    <row r="44" spans="1:10" s="2" customFormat="1" ht="8.25" customHeight="1">
      <c r="A44" s="1"/>
      <c r="D44" s="8"/>
      <c r="E44" s="63"/>
      <c r="F44" s="58"/>
      <c r="G44" s="58"/>
      <c r="H44" s="16"/>
      <c r="I44" s="45"/>
      <c r="J44" s="45"/>
    </row>
    <row r="45" spans="1:10" s="2" customFormat="1" ht="15">
      <c r="A45" s="1"/>
      <c r="B45" s="21" t="s">
        <v>10</v>
      </c>
      <c r="C45" s="21"/>
      <c r="D45" s="22"/>
      <c r="E45" s="70"/>
      <c r="F45" s="59"/>
      <c r="G45" s="59"/>
      <c r="H45" s="23"/>
      <c r="I45" s="47"/>
      <c r="J45" s="47"/>
    </row>
    <row r="46" spans="1:10">
      <c r="C46" s="3" t="s">
        <v>51</v>
      </c>
      <c r="D46" s="7">
        <v>688.35</v>
      </c>
      <c r="E46" s="61">
        <v>600</v>
      </c>
      <c r="F46" s="57">
        <v>600</v>
      </c>
      <c r="G46" s="57">
        <v>600</v>
      </c>
      <c r="H46" s="15">
        <f t="shared" ref="H46:H49" si="4">IF(AND(G46&gt;0, F46=0), 1, IF(AND(F46&gt;0,G46=0), -1, IF(G46=0, 0,(G46-F46)/F46)))</f>
        <v>0</v>
      </c>
      <c r="I46" s="44" t="s">
        <v>110</v>
      </c>
      <c r="J46" s="44" t="s">
        <v>97</v>
      </c>
    </row>
    <row r="47" spans="1:10">
      <c r="C47" s="3" t="s">
        <v>50</v>
      </c>
      <c r="D47" s="5">
        <v>2200</v>
      </c>
      <c r="E47" s="57">
        <v>2200</v>
      </c>
      <c r="F47" s="57">
        <v>2200</v>
      </c>
      <c r="G47" s="57">
        <v>2200</v>
      </c>
      <c r="H47" s="15">
        <f t="shared" si="4"/>
        <v>0</v>
      </c>
      <c r="I47" s="44" t="s">
        <v>92</v>
      </c>
      <c r="J47" s="44" t="s">
        <v>98</v>
      </c>
    </row>
    <row r="48" spans="1:10" ht="15.75" customHeight="1" thickBot="1">
      <c r="C48" s="3" t="s">
        <v>100</v>
      </c>
      <c r="D48" s="5">
        <v>2640</v>
      </c>
      <c r="E48" s="57">
        <v>2640</v>
      </c>
      <c r="F48" s="57">
        <v>2640</v>
      </c>
      <c r="G48" s="57">
        <v>2640</v>
      </c>
      <c r="H48" s="15">
        <f t="shared" si="4"/>
        <v>0</v>
      </c>
      <c r="I48" s="44" t="s">
        <v>109</v>
      </c>
      <c r="J48" s="44" t="s">
        <v>99</v>
      </c>
    </row>
    <row r="49" spans="1:11" ht="15.75" thickTop="1">
      <c r="A49" s="1"/>
      <c r="B49" s="31" t="s">
        <v>11</v>
      </c>
      <c r="C49" s="31"/>
      <c r="D49" s="32">
        <f>SUBTOTAL(9, D45:D48)</f>
        <v>5528.35</v>
      </c>
      <c r="E49" s="60">
        <f>SUBTOTAL(9, E45:E48)</f>
        <v>5440</v>
      </c>
      <c r="F49" s="60">
        <f>SUBTOTAL(9, F45:F48)</f>
        <v>5440</v>
      </c>
      <c r="G49" s="60">
        <f>SUBTOTAL(9, G45:G48)</f>
        <v>5440</v>
      </c>
      <c r="H49" s="33">
        <f t="shared" si="4"/>
        <v>0</v>
      </c>
      <c r="I49" s="50"/>
      <c r="J49" s="50"/>
    </row>
    <row r="50" spans="1:11" s="2" customFormat="1" ht="8.25" customHeight="1" thickBot="1">
      <c r="A50" s="1"/>
      <c r="D50" s="11"/>
      <c r="E50" s="72"/>
      <c r="F50" s="63"/>
      <c r="G50" s="63"/>
      <c r="H50" s="20"/>
      <c r="I50" s="45"/>
      <c r="J50" s="45"/>
    </row>
    <row r="51" spans="1:11" s="14" customFormat="1" ht="15.75" thickTop="1">
      <c r="A51" s="29" t="s">
        <v>32</v>
      </c>
      <c r="B51" s="30"/>
      <c r="C51" s="30"/>
      <c r="D51" s="35">
        <f>SUBTOTAL(9,D3:D50)</f>
        <v>122277.24</v>
      </c>
      <c r="E51" s="64">
        <f>SUBTOTAL(9,E3:E50)</f>
        <v>138170</v>
      </c>
      <c r="F51" s="64">
        <f>SUBTOTAL(9,F3:F50)</f>
        <v>168725</v>
      </c>
      <c r="G51" s="64">
        <f t="shared" ref="G51" si="5">SUBTOTAL(9,G3:G50)</f>
        <v>184650</v>
      </c>
      <c r="H51" s="36">
        <f t="shared" ref="H51" si="6">IF(AND(G51&gt;0, F51=0), 1, IF(AND(F51&gt;0,G51=0), -1, IF(G51=0, 0,(G51-F51)/F51)))</f>
        <v>9.4384353237516663E-2</v>
      </c>
      <c r="I51" s="51"/>
      <c r="J51" s="51"/>
    </row>
    <row r="52" spans="1:11">
      <c r="A52" s="9"/>
      <c r="B52" s="10"/>
      <c r="C52" s="10"/>
      <c r="D52" s="27"/>
      <c r="E52" s="73"/>
      <c r="F52" s="65"/>
      <c r="G52" s="65"/>
      <c r="H52" s="17"/>
      <c r="I52" s="46"/>
      <c r="J52" s="46"/>
      <c r="K52" s="10"/>
    </row>
    <row r="53" spans="1:11" ht="15">
      <c r="A53" s="1" t="s">
        <v>0</v>
      </c>
      <c r="B53" s="2"/>
      <c r="C53" s="2"/>
      <c r="D53" s="80">
        <v>1116</v>
      </c>
      <c r="E53" s="81">
        <v>1300</v>
      </c>
      <c r="F53" s="82"/>
      <c r="G53" s="82">
        <v>2300</v>
      </c>
      <c r="H53" s="83"/>
      <c r="I53" s="84" t="s">
        <v>102</v>
      </c>
      <c r="J53" s="52"/>
    </row>
    <row r="54" spans="1:11">
      <c r="C54" s="3" t="s">
        <v>23</v>
      </c>
      <c r="D54" s="7">
        <v>183024</v>
      </c>
      <c r="E54" s="61">
        <f>E$53 * 4 * 41</f>
        <v>213200</v>
      </c>
      <c r="F54" s="57">
        <v>295200</v>
      </c>
      <c r="G54" s="57">
        <f>2300 *4*41</f>
        <v>377200</v>
      </c>
      <c r="H54" s="15">
        <f t="shared" ref="H54:H65" si="7">IF(AND(G54&gt;0, F54=0), 1, IF(AND(F54&gt;0,G54=0), -1, IF(G54=0, 0,(G54-F54)/F54)))</f>
        <v>0.27777777777777779</v>
      </c>
      <c r="I54" s="75" t="s">
        <v>101</v>
      </c>
      <c r="J54" s="53"/>
    </row>
    <row r="55" spans="1:11" ht="15" customHeight="1">
      <c r="C55" s="3" t="s">
        <v>28</v>
      </c>
      <c r="D55" s="7">
        <v>2000</v>
      </c>
      <c r="E55" s="61">
        <v>2000</v>
      </c>
      <c r="F55" s="57">
        <v>2565.217391304348</v>
      </c>
      <c r="G55" s="57">
        <v>2000</v>
      </c>
      <c r="H55" s="15">
        <f t="shared" si="7"/>
        <v>-0.22033898305084751</v>
      </c>
      <c r="I55" s="44" t="s">
        <v>108</v>
      </c>
    </row>
    <row r="56" spans="1:11">
      <c r="C56" s="3" t="s">
        <v>25</v>
      </c>
      <c r="D56" s="7">
        <v>475</v>
      </c>
      <c r="E56" s="61">
        <v>0</v>
      </c>
      <c r="F56" s="57">
        <v>0</v>
      </c>
      <c r="G56" s="57">
        <v>0</v>
      </c>
      <c r="H56" s="15">
        <f t="shared" si="7"/>
        <v>0</v>
      </c>
      <c r="I56" s="44" t="s">
        <v>30</v>
      </c>
    </row>
    <row r="57" spans="1:11">
      <c r="C57" s="3" t="s">
        <v>26</v>
      </c>
      <c r="D57" s="7">
        <v>0</v>
      </c>
      <c r="E57" s="61">
        <v>0</v>
      </c>
      <c r="F57" s="57">
        <v>0</v>
      </c>
      <c r="G57" s="57">
        <v>0</v>
      </c>
      <c r="H57" s="15">
        <f t="shared" si="7"/>
        <v>0</v>
      </c>
      <c r="I57" s="44" t="s">
        <v>30</v>
      </c>
    </row>
    <row r="58" spans="1:11">
      <c r="C58" s="3" t="s">
        <v>31</v>
      </c>
      <c r="D58" s="7">
        <v>600</v>
      </c>
      <c r="E58" s="61">
        <v>0</v>
      </c>
      <c r="F58" s="57">
        <v>0</v>
      </c>
      <c r="G58" s="57">
        <v>0</v>
      </c>
      <c r="H58" s="15">
        <f t="shared" si="7"/>
        <v>0</v>
      </c>
      <c r="I58" s="44" t="s">
        <v>30</v>
      </c>
    </row>
    <row r="59" spans="1:11">
      <c r="C59" s="3" t="s">
        <v>27</v>
      </c>
      <c r="D59" s="7">
        <v>0</v>
      </c>
      <c r="E59" s="61">
        <v>0</v>
      </c>
      <c r="F59" s="57">
        <v>0</v>
      </c>
      <c r="G59" s="57">
        <v>0</v>
      </c>
      <c r="H59" s="15">
        <f t="shared" si="7"/>
        <v>0</v>
      </c>
      <c r="I59" s="44" t="s">
        <v>30</v>
      </c>
    </row>
    <row r="60" spans="1:11" ht="15.75" hidden="1" customHeight="1">
      <c r="C60" s="3" t="s">
        <v>24</v>
      </c>
      <c r="D60" s="7">
        <v>0</v>
      </c>
      <c r="E60" s="61">
        <v>0</v>
      </c>
      <c r="F60" s="57">
        <v>0</v>
      </c>
      <c r="G60" s="57">
        <v>0</v>
      </c>
      <c r="H60" s="15">
        <f t="shared" si="7"/>
        <v>0</v>
      </c>
      <c r="I60" s="49" t="s">
        <v>52</v>
      </c>
      <c r="J60" s="49"/>
    </row>
    <row r="61" spans="1:11">
      <c r="C61" s="3" t="s">
        <v>55</v>
      </c>
      <c r="D61" s="7">
        <v>675</v>
      </c>
      <c r="E61" s="61">
        <v>0</v>
      </c>
      <c r="F61" s="57">
        <v>0</v>
      </c>
      <c r="G61" s="57">
        <v>0</v>
      </c>
      <c r="H61" s="15">
        <f>IF(AND(G61&gt;0, F61=0), 1, IF(AND(F61&gt;0,G61=0), -1, IF(G61=0, 0,(G61-F61)/F61)))</f>
        <v>0</v>
      </c>
      <c r="I61" s="44" t="s">
        <v>59</v>
      </c>
    </row>
    <row r="62" spans="1:11">
      <c r="C62" s="3" t="s">
        <v>54</v>
      </c>
      <c r="D62" s="7">
        <v>3500</v>
      </c>
      <c r="E62" s="61">
        <v>3500</v>
      </c>
      <c r="F62" s="57">
        <v>3500</v>
      </c>
      <c r="G62" s="57">
        <v>0</v>
      </c>
      <c r="H62" s="15">
        <f t="shared" si="7"/>
        <v>-1</v>
      </c>
      <c r="I62" s="44" t="s">
        <v>59</v>
      </c>
    </row>
    <row r="63" spans="1:11">
      <c r="C63" s="3" t="s">
        <v>53</v>
      </c>
      <c r="D63" s="7">
        <v>0</v>
      </c>
      <c r="E63" s="61">
        <v>0</v>
      </c>
      <c r="F63" s="57">
        <v>0</v>
      </c>
      <c r="G63" s="57">
        <v>0</v>
      </c>
      <c r="H63" s="15">
        <f t="shared" si="7"/>
        <v>0</v>
      </c>
      <c r="I63" s="44" t="s">
        <v>59</v>
      </c>
    </row>
    <row r="64" spans="1:11" ht="15" thickBot="1">
      <c r="C64" s="3" t="s">
        <v>2</v>
      </c>
      <c r="D64" s="7">
        <v>0</v>
      </c>
      <c r="E64" s="61">
        <v>0</v>
      </c>
      <c r="F64" s="57">
        <v>0</v>
      </c>
      <c r="G64" s="57">
        <v>0</v>
      </c>
      <c r="H64" s="15">
        <f>IF(AND(G64&gt;0, F64=0), 1, IF(AND(F64&gt;0,G64=0), -1, IF(G64=0, 0,(G64-F64)/F64)))</f>
        <v>0</v>
      </c>
      <c r="I64" s="44" t="s">
        <v>30</v>
      </c>
    </row>
    <row r="65" spans="1:11" s="14" customFormat="1" ht="15.75" thickTop="1">
      <c r="A65" s="29" t="s">
        <v>8</v>
      </c>
      <c r="B65" s="30"/>
      <c r="C65" s="30"/>
      <c r="D65" s="35">
        <f t="shared" ref="D65:G65" si="8">SUM(D54:D64)</f>
        <v>190274</v>
      </c>
      <c r="E65" s="64">
        <f t="shared" si="8"/>
        <v>218700</v>
      </c>
      <c r="F65" s="66">
        <f t="shared" si="8"/>
        <v>301265.21739130432</v>
      </c>
      <c r="G65" s="66">
        <f t="shared" si="8"/>
        <v>379200</v>
      </c>
      <c r="H65" s="36">
        <f t="shared" si="7"/>
        <v>0.25869160497034255</v>
      </c>
      <c r="I65" s="51"/>
      <c r="J65" s="51"/>
    </row>
    <row r="66" spans="1:11">
      <c r="A66" s="9"/>
      <c r="B66" s="10"/>
      <c r="C66" s="10"/>
      <c r="D66" s="27"/>
      <c r="E66" s="73"/>
      <c r="F66" s="65"/>
      <c r="G66" s="65"/>
      <c r="H66" s="17"/>
      <c r="I66" s="46"/>
      <c r="J66" s="46"/>
      <c r="K66" s="10"/>
    </row>
    <row r="67" spans="1:11" s="2" customFormat="1" ht="15">
      <c r="A67" s="1" t="s">
        <v>44</v>
      </c>
      <c r="D67" s="8"/>
      <c r="E67" s="63"/>
      <c r="F67" s="58"/>
      <c r="G67" s="58"/>
      <c r="H67" s="16"/>
      <c r="I67" s="45"/>
      <c r="J67" s="45"/>
    </row>
    <row r="68" spans="1:11">
      <c r="C68" s="2" t="s">
        <v>32</v>
      </c>
      <c r="D68" s="7">
        <f t="shared" ref="D68" si="9">D51</f>
        <v>122277.24</v>
      </c>
      <c r="E68" s="61">
        <f>E51</f>
        <v>138170</v>
      </c>
      <c r="F68" s="57">
        <f>F51</f>
        <v>168725</v>
      </c>
      <c r="G68" s="57">
        <f t="shared" ref="G68" si="10">G51</f>
        <v>184650</v>
      </c>
      <c r="H68" s="15">
        <f t="shared" ref="H68:H71" si="11">IF(AND(G68&gt;0, F68=0), 1, IF(AND(F68&gt;0,G68=0), -1, IF(G68=0, 0,(G68-F68)/F68)))</f>
        <v>9.4384353237516663E-2</v>
      </c>
    </row>
    <row r="69" spans="1:11">
      <c r="C69" s="2" t="s">
        <v>46</v>
      </c>
      <c r="D69" s="7">
        <f t="shared" ref="D69" si="12">D82</f>
        <v>69754.66</v>
      </c>
      <c r="E69" s="61">
        <f t="shared" ref="E69:F69" si="13">E82</f>
        <v>74000</v>
      </c>
      <c r="F69" s="57">
        <f t="shared" si="13"/>
        <v>136140</v>
      </c>
      <c r="G69" s="57">
        <f t="shared" ref="G69" si="14">G82</f>
        <v>194550</v>
      </c>
      <c r="H69" s="15">
        <f t="shared" si="11"/>
        <v>0.42904363155575143</v>
      </c>
    </row>
    <row r="70" spans="1:11" ht="15" thickBot="1">
      <c r="C70" s="2" t="s">
        <v>8</v>
      </c>
      <c r="D70" s="7">
        <f t="shared" ref="D70" si="15">D65</f>
        <v>190274</v>
      </c>
      <c r="E70" s="61">
        <f t="shared" ref="E70:F70" si="16">E65</f>
        <v>218700</v>
      </c>
      <c r="F70" s="57">
        <f t="shared" si="16"/>
        <v>301265.21739130432</v>
      </c>
      <c r="G70" s="57">
        <f t="shared" ref="G70" si="17">G65</f>
        <v>379200</v>
      </c>
      <c r="H70" s="15">
        <f t="shared" si="11"/>
        <v>0.25869160497034255</v>
      </c>
    </row>
    <row r="71" spans="1:11" s="14" customFormat="1" ht="15.75" thickTop="1">
      <c r="A71" s="39" t="s">
        <v>45</v>
      </c>
      <c r="B71" s="40"/>
      <c r="C71" s="40"/>
      <c r="D71" s="56">
        <f t="shared" ref="D71" si="18">D70-(D68+D69)</f>
        <v>-1757.9000000000233</v>
      </c>
      <c r="E71" s="67">
        <f t="shared" ref="E71:F71" si="19">E70-(E68+E69)</f>
        <v>6530</v>
      </c>
      <c r="F71" s="67">
        <f t="shared" si="19"/>
        <v>-3599.7826086956775</v>
      </c>
      <c r="G71" s="67">
        <f t="shared" ref="G71" si="20">G70-(G68+G69)</f>
        <v>0</v>
      </c>
      <c r="H71" s="41">
        <f t="shared" si="11"/>
        <v>0</v>
      </c>
      <c r="I71" s="54"/>
      <c r="J71" s="54"/>
    </row>
    <row r="72" spans="1:11">
      <c r="A72" s="9"/>
      <c r="B72" s="10"/>
      <c r="C72" s="10"/>
      <c r="D72" s="27"/>
      <c r="E72" s="73"/>
      <c r="F72" s="65"/>
      <c r="G72" s="65"/>
      <c r="H72" s="17"/>
      <c r="I72" s="46"/>
      <c r="J72" s="46"/>
      <c r="K72" s="10"/>
    </row>
    <row r="73" spans="1:11" ht="9" customHeight="1">
      <c r="D73" s="25"/>
      <c r="E73" s="68"/>
      <c r="F73" s="57"/>
      <c r="G73" s="57"/>
    </row>
    <row r="74" spans="1:11" s="2" customFormat="1" ht="15">
      <c r="A74" s="1" t="s">
        <v>46</v>
      </c>
      <c r="D74" s="8"/>
      <c r="E74" s="63"/>
      <c r="F74" s="58"/>
      <c r="G74" s="58"/>
      <c r="H74" s="16"/>
      <c r="I74" s="45"/>
      <c r="J74" s="45"/>
    </row>
    <row r="75" spans="1:11">
      <c r="C75" s="3" t="s">
        <v>1</v>
      </c>
      <c r="D75" s="25">
        <v>4000</v>
      </c>
      <c r="E75" s="68">
        <v>4000</v>
      </c>
      <c r="F75" s="57">
        <v>1140</v>
      </c>
      <c r="G75" s="57">
        <v>4050</v>
      </c>
      <c r="H75" s="15">
        <f t="shared" ref="H75:H82" si="21">IF(AND(G75&gt;0, F75=0), 1, IF(AND(F75&gt;0,G75=0), -1, IF(G75=0, 0,(G75-F75)/F75)))</f>
        <v>2.5526315789473686</v>
      </c>
    </row>
    <row r="76" spans="1:11">
      <c r="C76" s="3" t="s">
        <v>5</v>
      </c>
      <c r="D76" s="24">
        <v>5754.66</v>
      </c>
      <c r="E76" s="71">
        <v>0</v>
      </c>
      <c r="F76" s="68">
        <v>0</v>
      </c>
      <c r="G76" s="68">
        <v>6000</v>
      </c>
      <c r="H76" s="28">
        <f t="shared" si="21"/>
        <v>1</v>
      </c>
    </row>
    <row r="77" spans="1:11">
      <c r="C77" s="3" t="s">
        <v>47</v>
      </c>
      <c r="D77" s="25">
        <v>30000</v>
      </c>
      <c r="E77" s="68">
        <v>40000</v>
      </c>
      <c r="F77" s="57">
        <v>0</v>
      </c>
      <c r="G77" s="57">
        <v>0</v>
      </c>
      <c r="H77" s="15">
        <f t="shared" si="21"/>
        <v>0</v>
      </c>
      <c r="I77" s="79"/>
    </row>
    <row r="78" spans="1:11">
      <c r="C78" s="3" t="s">
        <v>37</v>
      </c>
      <c r="D78" s="5">
        <v>0</v>
      </c>
      <c r="E78" s="57">
        <v>0</v>
      </c>
      <c r="F78" s="76">
        <v>50000</v>
      </c>
      <c r="G78" s="76">
        <v>50000</v>
      </c>
      <c r="H78" s="77">
        <f>IF(AND(G78&gt;0, F78=0), 1, IF(AND(F78&gt;0,G78=0), -1, IF(G78=0, 0,(G78-F78)/F78)))</f>
        <v>0</v>
      </c>
      <c r="I78" s="78" t="s">
        <v>87</v>
      </c>
      <c r="J78" s="49"/>
    </row>
    <row r="79" spans="1:11">
      <c r="C79" s="3" t="s">
        <v>38</v>
      </c>
      <c r="D79" s="5">
        <v>0</v>
      </c>
      <c r="E79" s="57">
        <v>0</v>
      </c>
      <c r="F79" s="76">
        <v>60000</v>
      </c>
      <c r="G79" s="76">
        <v>59500</v>
      </c>
      <c r="H79" s="77">
        <f>IF(AND(G79&gt;0, F79=0), 1, IF(AND(F79&gt;0,G79=0), -1, IF(G79=0, 0,(G79-F79)/F79)))</f>
        <v>-8.3333333333333332E-3</v>
      </c>
      <c r="I79" s="78" t="s">
        <v>87</v>
      </c>
      <c r="J79" s="49"/>
    </row>
    <row r="80" spans="1:11">
      <c r="C80" s="3" t="s">
        <v>48</v>
      </c>
      <c r="D80" s="25">
        <v>5000</v>
      </c>
      <c r="E80" s="68">
        <v>5000</v>
      </c>
      <c r="F80" s="57">
        <v>0</v>
      </c>
      <c r="G80" s="57">
        <v>0</v>
      </c>
      <c r="H80" s="15">
        <f t="shared" si="21"/>
        <v>0</v>
      </c>
      <c r="I80" s="44" t="s">
        <v>88</v>
      </c>
      <c r="K80" s="3" t="s">
        <v>4</v>
      </c>
    </row>
    <row r="81" spans="1:11" ht="15" thickBot="1">
      <c r="C81" s="3" t="s">
        <v>20</v>
      </c>
      <c r="D81" s="25">
        <v>25000</v>
      </c>
      <c r="E81" s="68">
        <v>25000</v>
      </c>
      <c r="F81" s="57">
        <v>25000</v>
      </c>
      <c r="G81" s="57">
        <v>75000</v>
      </c>
      <c r="H81" s="15">
        <f t="shared" si="21"/>
        <v>2</v>
      </c>
      <c r="K81" s="3" t="s">
        <v>4</v>
      </c>
    </row>
    <row r="82" spans="1:11" ht="15.75" thickTop="1">
      <c r="A82" s="37" t="s">
        <v>69</v>
      </c>
      <c r="B82" s="38"/>
      <c r="C82" s="38"/>
      <c r="D82" s="35">
        <f t="shared" ref="D82:F82" si="22">SUM(D74:D81)</f>
        <v>69754.66</v>
      </c>
      <c r="E82" s="64">
        <f t="shared" si="22"/>
        <v>74000</v>
      </c>
      <c r="F82" s="66">
        <f t="shared" si="22"/>
        <v>136140</v>
      </c>
      <c r="G82" s="66">
        <f>SUM(G74:G81)</f>
        <v>194550</v>
      </c>
      <c r="H82" s="36">
        <f t="shared" si="21"/>
        <v>0.42904363155575143</v>
      </c>
      <c r="I82" s="55"/>
      <c r="J82" s="55"/>
      <c r="K82" s="3" t="s">
        <v>4</v>
      </c>
    </row>
    <row r="83" spans="1:11">
      <c r="A83" s="6" t="s">
        <v>4</v>
      </c>
      <c r="B83" s="3" t="s">
        <v>4</v>
      </c>
      <c r="C83" s="3" t="s">
        <v>4</v>
      </c>
    </row>
    <row r="84" spans="1:11">
      <c r="A84" s="6" t="s">
        <v>4</v>
      </c>
      <c r="B84" s="3" t="s">
        <v>4</v>
      </c>
      <c r="C84" s="3" t="s">
        <v>4</v>
      </c>
    </row>
    <row r="85" spans="1:11" ht="15">
      <c r="A85" s="1" t="s">
        <v>4</v>
      </c>
      <c r="B85" s="2" t="s">
        <v>4</v>
      </c>
      <c r="C85" s="2" t="s">
        <v>4</v>
      </c>
    </row>
  </sheetData>
  <phoneticPr fontId="0" type="noConversion"/>
  <printOptions horizontalCentered="1" gridLines="1"/>
  <pageMargins left="0.25" right="0.25" top="0.5" bottom="0.25" header="0" footer="0"/>
  <pageSetup scale="80" fitToHeight="0" orientation="landscape" r:id="rId1"/>
  <headerFooter alignWithMargins="0">
    <oddFooter>&amp;Lprinted &amp;D&amp;C&amp;"Arial,Bold"&amp;12Trailside HOA&amp;Rpg &amp;P of &amp;N</oddFooter>
  </headerFooter>
  <rowBreaks count="1" manualBreakCount="1">
    <brk id="5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2:C9"/>
  <sheetViews>
    <sheetView workbookViewId="0">
      <selection activeCell="A9" sqref="A9"/>
    </sheetView>
  </sheetViews>
  <sheetFormatPr defaultRowHeight="12.75"/>
  <cols>
    <col min="3" max="3" width="36.42578125" customWidth="1"/>
  </cols>
  <sheetData>
    <row r="2" spans="1:3">
      <c r="A2" s="86" t="s">
        <v>106</v>
      </c>
    </row>
    <row r="3" spans="1:3">
      <c r="B3">
        <v>75000</v>
      </c>
      <c r="C3" s="86" t="s">
        <v>20</v>
      </c>
    </row>
    <row r="4" spans="1:3">
      <c r="B4">
        <v>2640</v>
      </c>
      <c r="C4" s="86" t="s">
        <v>105</v>
      </c>
    </row>
    <row r="5" spans="1:3">
      <c r="B5">
        <v>2200</v>
      </c>
      <c r="C5" s="86" t="s">
        <v>98</v>
      </c>
    </row>
    <row r="6" spans="1:3" ht="13.5" thickBot="1">
      <c r="B6">
        <v>1000</v>
      </c>
      <c r="C6" s="86" t="s">
        <v>104</v>
      </c>
    </row>
    <row r="7" spans="1:3" ht="13.5" thickTop="1">
      <c r="B7" s="85">
        <f>SUM(B3:B6)</f>
        <v>80840</v>
      </c>
    </row>
    <row r="8" spans="1:3">
      <c r="B8">
        <v>42</v>
      </c>
    </row>
    <row r="9" spans="1:3">
      <c r="B9" s="87">
        <f>B7/B8</f>
        <v>1924.7619047619048</v>
      </c>
      <c r="C9" s="88" t="s">
        <v>107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HOA Budget</vt:lpstr>
      <vt:lpstr>Geyer Road Fee</vt:lpstr>
      <vt:lpstr>'HOA Budget'!Print_Area</vt:lpstr>
      <vt:lpstr>'HOA Budget'!Print_Titles</vt:lpstr>
    </vt:vector>
  </TitlesOfParts>
  <Company>Bristol Management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</dc:creator>
  <cp:lastModifiedBy>kamjr</cp:lastModifiedBy>
  <cp:lastPrinted>2023-11-19T22:21:03Z</cp:lastPrinted>
  <dcterms:created xsi:type="dcterms:W3CDTF">2001-11-24T14:27:13Z</dcterms:created>
  <dcterms:modified xsi:type="dcterms:W3CDTF">2023-11-23T01:09:14Z</dcterms:modified>
</cp:coreProperties>
</file>